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U9015VC1WVM\Home\BUS\caldwead\Desktop\"/>
    </mc:Choice>
  </mc:AlternateContent>
  <bookViews>
    <workbookView xWindow="0" yWindow="0" windowWidth="24000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Sheet1!$A$1:$K$59</definedName>
  </definedNames>
  <calcPr calcId="152511"/>
</workbook>
</file>

<file path=xl/calcChain.xml><?xml version="1.0" encoding="utf-8"?>
<calcChain xmlns="http://schemas.openxmlformats.org/spreadsheetml/2006/main">
  <c r="G16" i="1" l="1"/>
  <c r="G57" i="1"/>
  <c r="G56" i="1"/>
  <c r="G58" i="1"/>
  <c r="G46" i="1"/>
  <c r="G49" i="1"/>
  <c r="G52" i="1"/>
  <c r="G47" i="1"/>
  <c r="G50" i="1"/>
  <c r="G51" i="1"/>
  <c r="G48" i="1"/>
  <c r="G36" i="1"/>
  <c r="G37" i="1"/>
  <c r="G39" i="1"/>
  <c r="G42" i="1"/>
  <c r="G40" i="1"/>
  <c r="G41" i="1"/>
  <c r="G38" i="1"/>
  <c r="G26" i="1"/>
  <c r="G17" i="1"/>
  <c r="G15" i="1"/>
  <c r="G25" i="1"/>
  <c r="G9" i="1"/>
  <c r="G14" i="1"/>
  <c r="G12" i="1"/>
  <c r="G11" i="1"/>
  <c r="G10" i="1"/>
  <c r="G31" i="1"/>
  <c r="G20" i="1"/>
  <c r="G19" i="1"/>
  <c r="G23" i="1"/>
  <c r="G27" i="1"/>
  <c r="G29" i="1"/>
  <c r="G21" i="1"/>
  <c r="G18" i="1"/>
  <c r="G13" i="1"/>
  <c r="G32" i="1"/>
  <c r="G24" i="1"/>
  <c r="G30" i="1"/>
  <c r="G22" i="1"/>
  <c r="G28" i="1"/>
  <c r="G59" i="1" l="1"/>
  <c r="D59" i="1"/>
  <c r="B59" i="1"/>
  <c r="G53" i="1"/>
  <c r="D53" i="1"/>
  <c r="J53" i="1" s="1"/>
  <c r="B53" i="1"/>
  <c r="G43" i="1"/>
  <c r="D43" i="1"/>
  <c r="B43" i="1"/>
  <c r="G33" i="1"/>
  <c r="D33" i="1"/>
  <c r="B33" i="1"/>
  <c r="J57" i="1"/>
  <c r="K57" i="1" s="1"/>
  <c r="J56" i="1"/>
  <c r="K56" i="1" s="1"/>
  <c r="J58" i="1"/>
  <c r="K58" i="1" s="1"/>
  <c r="J46" i="1"/>
  <c r="K46" i="1" s="1"/>
  <c r="J49" i="1"/>
  <c r="K49" i="1" s="1"/>
  <c r="J52" i="1"/>
  <c r="K52" i="1" s="1"/>
  <c r="J47" i="1"/>
  <c r="K47" i="1" s="1"/>
  <c r="J50" i="1"/>
  <c r="K50" i="1" s="1"/>
  <c r="J51" i="1"/>
  <c r="K51" i="1" s="1"/>
  <c r="J48" i="1"/>
  <c r="K48" i="1" s="1"/>
  <c r="J36" i="1"/>
  <c r="K36" i="1" s="1"/>
  <c r="J37" i="1"/>
  <c r="K37" i="1" s="1"/>
  <c r="J39" i="1"/>
  <c r="K39" i="1" s="1"/>
  <c r="J42" i="1"/>
  <c r="K42" i="1" s="1"/>
  <c r="J40" i="1"/>
  <c r="K40" i="1" s="1"/>
  <c r="J41" i="1"/>
  <c r="K41" i="1" s="1"/>
  <c r="J38" i="1"/>
  <c r="K38" i="1" s="1"/>
  <c r="H57" i="1"/>
  <c r="H56" i="1"/>
  <c r="H58" i="1"/>
  <c r="H46" i="1"/>
  <c r="H49" i="1"/>
  <c r="H52" i="1"/>
  <c r="H47" i="1"/>
  <c r="H50" i="1"/>
  <c r="H51" i="1"/>
  <c r="H48" i="1"/>
  <c r="H36" i="1"/>
  <c r="H37" i="1"/>
  <c r="H39" i="1"/>
  <c r="H42" i="1"/>
  <c r="H40" i="1"/>
  <c r="H41" i="1"/>
  <c r="H38" i="1"/>
  <c r="H26" i="1"/>
  <c r="J17" i="1"/>
  <c r="K17" i="1" s="1"/>
  <c r="J9" i="1"/>
  <c r="K9" i="1" s="1"/>
  <c r="H14" i="1"/>
  <c r="H10" i="1"/>
  <c r="J20" i="1"/>
  <c r="K20" i="1" s="1"/>
  <c r="J21" i="1"/>
  <c r="K21" i="1" s="1"/>
  <c r="J18" i="1"/>
  <c r="K18" i="1" s="1"/>
  <c r="J13" i="1"/>
  <c r="K13" i="1" s="1"/>
  <c r="H24" i="1"/>
  <c r="J30" i="1"/>
  <c r="K30" i="1" s="1"/>
  <c r="J22" i="1"/>
  <c r="K22" i="1" s="1"/>
  <c r="E57" i="1"/>
  <c r="E56" i="1"/>
  <c r="E58" i="1"/>
  <c r="E46" i="1"/>
  <c r="E49" i="1"/>
  <c r="E52" i="1"/>
  <c r="E47" i="1"/>
  <c r="E50" i="1"/>
  <c r="E51" i="1"/>
  <c r="E48" i="1"/>
  <c r="E36" i="1"/>
  <c r="E37" i="1"/>
  <c r="E39" i="1"/>
  <c r="E42" i="1"/>
  <c r="E40" i="1"/>
  <c r="E41" i="1"/>
  <c r="E38" i="1"/>
  <c r="E26" i="1"/>
  <c r="E17" i="1"/>
  <c r="J15" i="1"/>
  <c r="K15" i="1" s="1"/>
  <c r="E15" i="1"/>
  <c r="J25" i="1"/>
  <c r="K25" i="1" s="1"/>
  <c r="E25" i="1"/>
  <c r="H9" i="1"/>
  <c r="E9" i="1"/>
  <c r="J14" i="1"/>
  <c r="K14" i="1" s="1"/>
  <c r="E14" i="1"/>
  <c r="J12" i="1"/>
  <c r="K12" i="1" s="1"/>
  <c r="E12" i="1"/>
  <c r="J11" i="1"/>
  <c r="K11" i="1" s="1"/>
  <c r="E11" i="1"/>
  <c r="J10" i="1"/>
  <c r="K10" i="1" s="1"/>
  <c r="E10" i="1"/>
  <c r="J31" i="1"/>
  <c r="K31" i="1" s="1"/>
  <c r="H31" i="1"/>
  <c r="E31" i="1"/>
  <c r="E20" i="1"/>
  <c r="J19" i="1"/>
  <c r="K19" i="1" s="1"/>
  <c r="E19" i="1"/>
  <c r="J23" i="1"/>
  <c r="K23" i="1" s="1"/>
  <c r="H23" i="1"/>
  <c r="E23" i="1"/>
  <c r="J27" i="1"/>
  <c r="K27" i="1" s="1"/>
  <c r="H27" i="1"/>
  <c r="E27" i="1"/>
  <c r="J29" i="1"/>
  <c r="K29" i="1" s="1"/>
  <c r="E29" i="1"/>
  <c r="E21" i="1"/>
  <c r="H18" i="1"/>
  <c r="E18" i="1"/>
  <c r="E13" i="1"/>
  <c r="J32" i="1"/>
  <c r="K32" i="1" s="1"/>
  <c r="E32" i="1"/>
  <c r="E24" i="1"/>
  <c r="E30" i="1"/>
  <c r="E22" i="1"/>
  <c r="J16" i="1"/>
  <c r="K16" i="1" s="1"/>
  <c r="E16" i="1"/>
  <c r="J28" i="1"/>
  <c r="K28" i="1" s="1"/>
  <c r="H28" i="1"/>
  <c r="E28" i="1"/>
  <c r="H53" i="1" l="1"/>
  <c r="E33" i="1"/>
  <c r="J43" i="1"/>
  <c r="K43" i="1" s="1"/>
  <c r="J59" i="1"/>
  <c r="K59" i="1" s="1"/>
  <c r="H33" i="1"/>
  <c r="H59" i="1"/>
  <c r="E53" i="1"/>
  <c r="H43" i="1"/>
  <c r="J33" i="1"/>
  <c r="K33" i="1" s="1"/>
  <c r="E59" i="1"/>
  <c r="K53" i="1"/>
  <c r="E43" i="1"/>
  <c r="J26" i="1"/>
  <c r="K26" i="1" s="1"/>
  <c r="H17" i="1"/>
  <c r="H13" i="1"/>
  <c r="H30" i="1"/>
  <c r="H22" i="1"/>
  <c r="H21" i="1"/>
  <c r="H19" i="1"/>
  <c r="H11" i="1"/>
  <c r="H25" i="1"/>
  <c r="H16" i="1"/>
  <c r="J24" i="1"/>
  <c r="K24" i="1" s="1"/>
  <c r="H32" i="1"/>
  <c r="H29" i="1"/>
  <c r="H20" i="1"/>
  <c r="H12" i="1"/>
  <c r="H15" i="1"/>
</calcChain>
</file>

<file path=xl/sharedStrings.xml><?xml version="1.0" encoding="utf-8"?>
<sst xmlns="http://schemas.openxmlformats.org/spreadsheetml/2006/main" count="71" uniqueCount="60">
  <si>
    <t>Elemenary</t>
  </si>
  <si>
    <t>UFTE</t>
  </si>
  <si>
    <t>Cost</t>
  </si>
  <si>
    <t>School</t>
  </si>
  <si>
    <t>Cost Per</t>
  </si>
  <si>
    <t>Student</t>
  </si>
  <si>
    <t xml:space="preserve">    Meadowbrook</t>
  </si>
  <si>
    <t xml:space="preserve">    Williams</t>
  </si>
  <si>
    <t xml:space="preserve">    Hidden Oak</t>
  </si>
  <si>
    <t xml:space="preserve">    High Springs K-8</t>
  </si>
  <si>
    <t xml:space="preserve">    Finley</t>
  </si>
  <si>
    <t xml:space="preserve">    Wiles</t>
  </si>
  <si>
    <t xml:space="preserve">    Idylwild</t>
  </si>
  <si>
    <t xml:space="preserve">    Talbot</t>
  </si>
  <si>
    <t xml:space="preserve">    Norton</t>
  </si>
  <si>
    <t xml:space="preserve">    Archer</t>
  </si>
  <si>
    <t xml:space="preserve">    Chiles</t>
  </si>
  <si>
    <t xml:space="preserve">    Terwilliger</t>
  </si>
  <si>
    <t xml:space="preserve">    Glen Springs</t>
  </si>
  <si>
    <t xml:space="preserve">    Foster</t>
  </si>
  <si>
    <t xml:space="preserve">    Newberry</t>
  </si>
  <si>
    <t xml:space="preserve">    Littlewood</t>
  </si>
  <si>
    <t xml:space="preserve">    Irby</t>
  </si>
  <si>
    <t xml:space="preserve">    Alachua</t>
  </si>
  <si>
    <t xml:space="preserve">    Waldo</t>
  </si>
  <si>
    <t xml:space="preserve">    Shell</t>
  </si>
  <si>
    <t xml:space="preserve">    Metcalfe</t>
  </si>
  <si>
    <t xml:space="preserve">    Duval</t>
  </si>
  <si>
    <t xml:space="preserve">    Rawlings</t>
  </si>
  <si>
    <t>Total Elementary</t>
  </si>
  <si>
    <t>Middle</t>
  </si>
  <si>
    <t xml:space="preserve">    Oak View</t>
  </si>
  <si>
    <t xml:space="preserve">    Kanapaha</t>
  </si>
  <si>
    <t xml:space="preserve">    Ft. Clarke</t>
  </si>
  <si>
    <t xml:space="preserve">    Westwood</t>
  </si>
  <si>
    <t xml:space="preserve">    Lincoln</t>
  </si>
  <si>
    <t xml:space="preserve">    Bishop</t>
  </si>
  <si>
    <t xml:space="preserve">    Mebane</t>
  </si>
  <si>
    <t>Total Middle</t>
  </si>
  <si>
    <t xml:space="preserve">    Lake Forest</t>
  </si>
  <si>
    <t>High</t>
  </si>
  <si>
    <t xml:space="preserve">    Buchholz</t>
  </si>
  <si>
    <t xml:space="preserve">    GHS</t>
  </si>
  <si>
    <t xml:space="preserve">    Santa Fe</t>
  </si>
  <si>
    <t xml:space="preserve">    Eastside</t>
  </si>
  <si>
    <t xml:space="preserve">    Hawthorne 6-12</t>
  </si>
  <si>
    <t xml:space="preserve">    Professional Academies Magnet</t>
  </si>
  <si>
    <t>Total High</t>
  </si>
  <si>
    <t>Special Centers</t>
  </si>
  <si>
    <t xml:space="preserve">    Horizon</t>
  </si>
  <si>
    <t xml:space="preserve">    Lanier</t>
  </si>
  <si>
    <t xml:space="preserve">    AQ Jones</t>
  </si>
  <si>
    <t>Total Special Centers</t>
  </si>
  <si>
    <t xml:space="preserve"> </t>
  </si>
  <si>
    <t xml:space="preserve">           General Fund</t>
  </si>
  <si>
    <t xml:space="preserve">          Federal Funds</t>
  </si>
  <si>
    <t xml:space="preserve">               Combined</t>
  </si>
  <si>
    <t xml:space="preserve">            Average Cost Per Student By School</t>
  </si>
  <si>
    <t xml:space="preserve">               Fiscal Year Ending June 30, 2014</t>
  </si>
  <si>
    <t xml:space="preserve">       Based on the 2013-14 Annual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</si>
</sst>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0" xfId="0" applyFont="1"/>
    <xf numFmtId="41" fontId="0" fillId="0" borderId="0" xfId="0" applyNumberFormat="1"/>
    <xf numFmtId="41" fontId="0" fillId="0" borderId="0" xfId="0" applyNumberFormat="1" applyBorder="1"/>
    <xf numFmtId="41" fontId="0" fillId="0" borderId="1" xfId="0" applyNumberFormat="1" applyBorder="1"/>
    <xf numFmtId="43" fontId="0" fillId="0" borderId="0" xfId="0" applyNumberFormat="1"/>
    <xf numFmtId="43" fontId="0" fillId="0" borderId="0" xfId="0" applyNumberFormat="1" applyBorder="1"/>
    <xf numFmtId="43" fontId="0" fillId="0" borderId="1" xfId="0" applyNumberFormat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workbookViewId="0"/>
  </sheetViews>
  <sheetFormatPr defaultRowHeight="15" x14ac:dyDescent="0.25"/>
  <cols>
    <col min="1" max="1" width="30.7109375" customWidth="1"/>
    <col min="2" max="2" width="10.140625" bestFit="1" customWidth="1"/>
    <col min="3" max="3" width="1.7109375" customWidth="1"/>
    <col min="4" max="4" width="11" bestFit="1" customWidth="1"/>
    <col min="5" max="5" width="10.140625" bestFit="1" customWidth="1"/>
    <col min="6" max="6" width="1.7109375" customWidth="1"/>
    <col min="7" max="7" width="11" bestFit="1" customWidth="1"/>
    <col min="8" max="8" width="9.140625" bestFit="1" customWidth="1"/>
    <col min="9" max="9" width="1.7109375" customWidth="1"/>
    <col min="10" max="10" width="12.7109375" customWidth="1"/>
    <col min="11" max="11" width="10.140625" bestFit="1" customWidth="1"/>
    <col min="13" max="13" width="11" bestFit="1" customWidth="1"/>
  </cols>
  <sheetData>
    <row r="1" spans="1:11" ht="21" x14ac:dyDescent="0.35">
      <c r="B1" s="11" t="s">
        <v>57</v>
      </c>
      <c r="C1" s="1"/>
    </row>
    <row r="2" spans="1:11" ht="21" x14ac:dyDescent="0.35">
      <c r="B2" s="11" t="s">
        <v>58</v>
      </c>
      <c r="C2" s="1"/>
    </row>
    <row r="3" spans="1:11" ht="21" x14ac:dyDescent="0.35">
      <c r="B3" s="11" t="s">
        <v>59</v>
      </c>
      <c r="C3" s="1"/>
    </row>
    <row r="5" spans="1:11" x14ac:dyDescent="0.25">
      <c r="D5" s="3" t="s">
        <v>54</v>
      </c>
      <c r="E5" s="3"/>
      <c r="F5" s="4"/>
      <c r="G5" s="3" t="s">
        <v>55</v>
      </c>
      <c r="H5" s="3"/>
      <c r="I5" s="4"/>
      <c r="J5" s="3" t="s">
        <v>56</v>
      </c>
      <c r="K5" s="3"/>
    </row>
    <row r="6" spans="1:11" x14ac:dyDescent="0.25">
      <c r="D6" s="13" t="s">
        <v>3</v>
      </c>
      <c r="E6" s="13" t="s">
        <v>4</v>
      </c>
      <c r="G6" s="13" t="s">
        <v>3</v>
      </c>
      <c r="H6" s="13" t="s">
        <v>4</v>
      </c>
      <c r="J6" s="13" t="s">
        <v>3</v>
      </c>
      <c r="K6" s="13" t="s">
        <v>4</v>
      </c>
    </row>
    <row r="7" spans="1:11" x14ac:dyDescent="0.25">
      <c r="B7" s="12" t="s">
        <v>1</v>
      </c>
      <c r="C7" s="2"/>
      <c r="D7" s="12" t="s">
        <v>2</v>
      </c>
      <c r="E7" s="12" t="s">
        <v>5</v>
      </c>
      <c r="F7" s="2"/>
      <c r="G7" s="12" t="s">
        <v>2</v>
      </c>
      <c r="H7" s="12" t="s">
        <v>5</v>
      </c>
      <c r="I7" s="2"/>
      <c r="J7" s="12" t="s">
        <v>2</v>
      </c>
      <c r="K7" s="12" t="s">
        <v>5</v>
      </c>
    </row>
    <row r="8" spans="1:11" x14ac:dyDescent="0.25">
      <c r="A8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t="s">
        <v>6</v>
      </c>
      <c r="B9" s="8">
        <v>707.41</v>
      </c>
      <c r="D9" s="5">
        <v>4224642</v>
      </c>
      <c r="E9" s="8">
        <f t="shared" ref="E9:E32" si="0">ROUND(SUM(D9/B9),2)</f>
        <v>5971.99</v>
      </c>
      <c r="G9" s="5">
        <f>SUM(251956+21569)</f>
        <v>273525</v>
      </c>
      <c r="H9" s="8">
        <f t="shared" ref="H9:H32" si="1">ROUND(SUM(G9/B9),2)</f>
        <v>386.66</v>
      </c>
      <c r="J9" s="5">
        <f t="shared" ref="J9:J32" si="2">SUM(D9+G9)</f>
        <v>4498167</v>
      </c>
      <c r="K9" s="8">
        <f t="shared" ref="K9:K32" si="3">ROUND(SUM(J9/B9),2)</f>
        <v>6358.64</v>
      </c>
    </row>
    <row r="10" spans="1:11" x14ac:dyDescent="0.25">
      <c r="A10" t="s">
        <v>9</v>
      </c>
      <c r="B10" s="8">
        <v>858.24</v>
      </c>
      <c r="D10" s="5">
        <v>5581211</v>
      </c>
      <c r="E10" s="8">
        <f t="shared" si="0"/>
        <v>6503.09</v>
      </c>
      <c r="G10" s="5">
        <f>SUM(245955+25481)</f>
        <v>271436</v>
      </c>
      <c r="H10" s="8">
        <f t="shared" si="1"/>
        <v>316.27</v>
      </c>
      <c r="J10" s="5">
        <f t="shared" si="2"/>
        <v>5852647</v>
      </c>
      <c r="K10" s="8">
        <f t="shared" si="3"/>
        <v>6819.36</v>
      </c>
    </row>
    <row r="11" spans="1:11" x14ac:dyDescent="0.25">
      <c r="A11" t="s">
        <v>8</v>
      </c>
      <c r="B11" s="8">
        <v>745.96</v>
      </c>
      <c r="D11" s="5">
        <v>4920705</v>
      </c>
      <c r="E11" s="8">
        <f t="shared" si="0"/>
        <v>6596.47</v>
      </c>
      <c r="G11" s="5">
        <f>SUM(236196+27232)</f>
        <v>263428</v>
      </c>
      <c r="H11" s="8">
        <f t="shared" si="1"/>
        <v>353.14</v>
      </c>
      <c r="J11" s="5">
        <f t="shared" si="2"/>
        <v>5184133</v>
      </c>
      <c r="K11" s="8">
        <f t="shared" si="3"/>
        <v>6949.61</v>
      </c>
    </row>
    <row r="12" spans="1:11" x14ac:dyDescent="0.25">
      <c r="A12" t="s">
        <v>11</v>
      </c>
      <c r="B12" s="8">
        <v>810.55</v>
      </c>
      <c r="D12" s="5">
        <v>5208285</v>
      </c>
      <c r="E12" s="8">
        <f t="shared" si="0"/>
        <v>6425.62</v>
      </c>
      <c r="G12" s="5">
        <f>SUM(513823+31205)</f>
        <v>545028</v>
      </c>
      <c r="H12" s="8">
        <f t="shared" si="1"/>
        <v>672.42</v>
      </c>
      <c r="J12" s="5">
        <f t="shared" si="2"/>
        <v>5753313</v>
      </c>
      <c r="K12" s="8">
        <f t="shared" si="3"/>
        <v>7098.04</v>
      </c>
    </row>
    <row r="13" spans="1:11" x14ac:dyDescent="0.25">
      <c r="A13" t="s">
        <v>7</v>
      </c>
      <c r="B13" s="8">
        <v>566.55999999999995</v>
      </c>
      <c r="D13" s="5">
        <v>3551718</v>
      </c>
      <c r="E13" s="8">
        <f t="shared" si="0"/>
        <v>6268.92</v>
      </c>
      <c r="G13" s="5">
        <f>SUM(512218+22639)</f>
        <v>534857</v>
      </c>
      <c r="H13" s="8">
        <f t="shared" si="1"/>
        <v>944.04</v>
      </c>
      <c r="J13" s="5">
        <f t="shared" si="2"/>
        <v>4086575</v>
      </c>
      <c r="K13" s="8">
        <f t="shared" si="3"/>
        <v>7212.96</v>
      </c>
    </row>
    <row r="14" spans="1:11" x14ac:dyDescent="0.25">
      <c r="A14" t="s">
        <v>16</v>
      </c>
      <c r="B14" s="8">
        <v>688.58</v>
      </c>
      <c r="D14" s="5">
        <v>4472769</v>
      </c>
      <c r="E14" s="8">
        <f t="shared" si="0"/>
        <v>6495.64</v>
      </c>
      <c r="G14" s="5">
        <f>SUM(529862+27125)</f>
        <v>556987</v>
      </c>
      <c r="H14" s="8">
        <f t="shared" si="1"/>
        <v>808.89</v>
      </c>
      <c r="J14" s="5">
        <f t="shared" si="2"/>
        <v>5029756</v>
      </c>
      <c r="K14" s="8">
        <f t="shared" si="3"/>
        <v>7304.53</v>
      </c>
    </row>
    <row r="15" spans="1:11" x14ac:dyDescent="0.25">
      <c r="A15" t="s">
        <v>14</v>
      </c>
      <c r="B15" s="8">
        <v>683.34</v>
      </c>
      <c r="D15" s="5">
        <v>4477309</v>
      </c>
      <c r="E15" s="8">
        <f t="shared" si="0"/>
        <v>6552.1</v>
      </c>
      <c r="G15" s="5">
        <f>SUM(736180+28776)</f>
        <v>764956</v>
      </c>
      <c r="H15" s="8">
        <f t="shared" si="1"/>
        <v>1119.44</v>
      </c>
      <c r="J15" s="5">
        <f t="shared" si="2"/>
        <v>5242265</v>
      </c>
      <c r="K15" s="8">
        <f t="shared" si="3"/>
        <v>7671.53</v>
      </c>
    </row>
    <row r="16" spans="1:11" x14ac:dyDescent="0.25">
      <c r="A16" t="s">
        <v>10</v>
      </c>
      <c r="B16" s="8">
        <v>584.17999999999995</v>
      </c>
      <c r="D16" s="5">
        <v>4045901</v>
      </c>
      <c r="E16" s="8">
        <f t="shared" si="0"/>
        <v>6925.78</v>
      </c>
      <c r="G16" s="5">
        <f>SUM(494006+20312)</f>
        <v>514318</v>
      </c>
      <c r="H16" s="8">
        <f t="shared" si="1"/>
        <v>880.41</v>
      </c>
      <c r="J16" s="5">
        <f t="shared" si="2"/>
        <v>4560219</v>
      </c>
      <c r="K16" s="8">
        <f t="shared" si="3"/>
        <v>7806.19</v>
      </c>
    </row>
    <row r="17" spans="1:11" x14ac:dyDescent="0.25">
      <c r="A17" t="s">
        <v>13</v>
      </c>
      <c r="B17" s="8">
        <v>697.11</v>
      </c>
      <c r="D17" s="5">
        <v>5042840</v>
      </c>
      <c r="E17" s="8">
        <f t="shared" si="0"/>
        <v>7233.92</v>
      </c>
      <c r="G17" s="5">
        <f>SUM(378662+28688)</f>
        <v>407350</v>
      </c>
      <c r="H17" s="8">
        <f t="shared" si="1"/>
        <v>584.34</v>
      </c>
      <c r="J17" s="5">
        <f t="shared" si="2"/>
        <v>5450190</v>
      </c>
      <c r="K17" s="8">
        <f t="shared" si="3"/>
        <v>7818.26</v>
      </c>
    </row>
    <row r="18" spans="1:11" x14ac:dyDescent="0.25">
      <c r="A18" t="s">
        <v>23</v>
      </c>
      <c r="B18" s="8">
        <v>368.39</v>
      </c>
      <c r="D18" s="5">
        <v>2499265</v>
      </c>
      <c r="E18" s="8">
        <f t="shared" si="0"/>
        <v>6784.29</v>
      </c>
      <c r="G18" s="5">
        <f>SUM(379773+12413)</f>
        <v>392186</v>
      </c>
      <c r="H18" s="8">
        <f t="shared" si="1"/>
        <v>1064.5899999999999</v>
      </c>
      <c r="J18" s="5">
        <f t="shared" si="2"/>
        <v>2891451</v>
      </c>
      <c r="K18" s="8">
        <f t="shared" si="3"/>
        <v>7848.89</v>
      </c>
    </row>
    <row r="19" spans="1:11" x14ac:dyDescent="0.25">
      <c r="A19" t="s">
        <v>12</v>
      </c>
      <c r="B19" s="8">
        <v>666.43</v>
      </c>
      <c r="D19" s="5">
        <v>4429604</v>
      </c>
      <c r="E19" s="8">
        <f t="shared" si="0"/>
        <v>6646.77</v>
      </c>
      <c r="G19" s="5">
        <f>SUM(790901+25393)</f>
        <v>816294</v>
      </c>
      <c r="H19" s="8">
        <f t="shared" si="1"/>
        <v>1224.8800000000001</v>
      </c>
      <c r="J19" s="5">
        <f t="shared" si="2"/>
        <v>5245898</v>
      </c>
      <c r="K19" s="8">
        <f t="shared" si="3"/>
        <v>7871.64</v>
      </c>
    </row>
    <row r="20" spans="1:11" x14ac:dyDescent="0.25">
      <c r="A20" t="s">
        <v>18</v>
      </c>
      <c r="B20" s="8">
        <v>473.82</v>
      </c>
      <c r="D20" s="5">
        <v>3320510</v>
      </c>
      <c r="E20" s="8">
        <f t="shared" si="0"/>
        <v>7007.96</v>
      </c>
      <c r="G20" s="5">
        <f>SUM(441390+16055)</f>
        <v>457445</v>
      </c>
      <c r="H20" s="8">
        <f t="shared" si="1"/>
        <v>965.44</v>
      </c>
      <c r="J20" s="5">
        <f t="shared" si="2"/>
        <v>3777955</v>
      </c>
      <c r="K20" s="8">
        <f t="shared" si="3"/>
        <v>7973.4</v>
      </c>
    </row>
    <row r="21" spans="1:11" x14ac:dyDescent="0.25">
      <c r="A21" t="s">
        <v>15</v>
      </c>
      <c r="B21" s="8">
        <v>435.28</v>
      </c>
      <c r="D21" s="5">
        <v>3043045</v>
      </c>
      <c r="E21" s="8">
        <f t="shared" si="0"/>
        <v>6991.01</v>
      </c>
      <c r="G21" s="5">
        <f>SUM(425715+18761)</f>
        <v>444476</v>
      </c>
      <c r="H21" s="8">
        <f t="shared" si="1"/>
        <v>1021.13</v>
      </c>
      <c r="J21" s="5">
        <f t="shared" si="2"/>
        <v>3487521</v>
      </c>
      <c r="K21" s="8">
        <f t="shared" si="3"/>
        <v>8012.13</v>
      </c>
    </row>
    <row r="22" spans="1:11" x14ac:dyDescent="0.25">
      <c r="A22" t="s">
        <v>19</v>
      </c>
      <c r="B22" s="8">
        <v>472.18</v>
      </c>
      <c r="D22" s="5">
        <v>3470746</v>
      </c>
      <c r="E22" s="8">
        <f t="shared" si="0"/>
        <v>7350.47</v>
      </c>
      <c r="G22" s="5">
        <f>SUM(418823+21050)</f>
        <v>439873</v>
      </c>
      <c r="H22" s="8">
        <f t="shared" si="1"/>
        <v>931.58</v>
      </c>
      <c r="J22" s="5">
        <f t="shared" si="2"/>
        <v>3910619</v>
      </c>
      <c r="K22" s="8">
        <f t="shared" si="3"/>
        <v>8282.0499999999993</v>
      </c>
    </row>
    <row r="23" spans="1:11" x14ac:dyDescent="0.25">
      <c r="A23" t="s">
        <v>17</v>
      </c>
      <c r="B23" s="8">
        <v>606.80999999999995</v>
      </c>
      <c r="D23" s="5">
        <v>4336868</v>
      </c>
      <c r="E23" s="8">
        <f t="shared" si="0"/>
        <v>7146.99</v>
      </c>
      <c r="G23" s="5">
        <f>SUM(708724+22333)</f>
        <v>731057</v>
      </c>
      <c r="H23" s="8">
        <f t="shared" si="1"/>
        <v>1204.75</v>
      </c>
      <c r="J23" s="5">
        <f t="shared" si="2"/>
        <v>5067925</v>
      </c>
      <c r="K23" s="8">
        <f t="shared" si="3"/>
        <v>8351.75</v>
      </c>
    </row>
    <row r="24" spans="1:11" x14ac:dyDescent="0.25">
      <c r="A24" t="s">
        <v>21</v>
      </c>
      <c r="B24" s="8">
        <v>626.1</v>
      </c>
      <c r="D24" s="5">
        <v>4492553</v>
      </c>
      <c r="E24" s="8">
        <f t="shared" si="0"/>
        <v>7175.46</v>
      </c>
      <c r="G24" s="5">
        <f>SUM(800505+22715)</f>
        <v>823220</v>
      </c>
      <c r="H24" s="8">
        <f t="shared" si="1"/>
        <v>1314.84</v>
      </c>
      <c r="J24" s="5">
        <f t="shared" si="2"/>
        <v>5315773</v>
      </c>
      <c r="K24" s="8">
        <f t="shared" si="3"/>
        <v>8490.2900000000009</v>
      </c>
    </row>
    <row r="25" spans="1:11" x14ac:dyDescent="0.25">
      <c r="A25" t="s">
        <v>20</v>
      </c>
      <c r="B25" s="8">
        <v>508.11</v>
      </c>
      <c r="D25" s="5">
        <v>3767456</v>
      </c>
      <c r="E25" s="8">
        <f t="shared" si="0"/>
        <v>7414.65</v>
      </c>
      <c r="G25" s="5">
        <f>SUM(540004+19470)</f>
        <v>559474</v>
      </c>
      <c r="H25" s="8">
        <f t="shared" si="1"/>
        <v>1101.0899999999999</v>
      </c>
      <c r="J25" s="5">
        <f t="shared" si="2"/>
        <v>4326930</v>
      </c>
      <c r="K25" s="8">
        <f t="shared" si="3"/>
        <v>8515.73</v>
      </c>
    </row>
    <row r="26" spans="1:11" x14ac:dyDescent="0.25">
      <c r="A26" t="s">
        <v>22</v>
      </c>
      <c r="B26" s="9">
        <v>456.2</v>
      </c>
      <c r="D26" s="6">
        <v>3625617</v>
      </c>
      <c r="E26" s="9">
        <f t="shared" si="0"/>
        <v>7947.43</v>
      </c>
      <c r="G26" s="6">
        <f>SUM(515371+17665)</f>
        <v>533036</v>
      </c>
      <c r="H26" s="9">
        <f t="shared" si="1"/>
        <v>1168.43</v>
      </c>
      <c r="J26" s="6">
        <f t="shared" si="2"/>
        <v>4158653</v>
      </c>
      <c r="K26" s="9">
        <f t="shared" si="3"/>
        <v>9115.85</v>
      </c>
    </row>
    <row r="27" spans="1:11" x14ac:dyDescent="0.25">
      <c r="A27" t="s">
        <v>24</v>
      </c>
      <c r="B27" s="8">
        <v>199.45</v>
      </c>
      <c r="D27" s="5">
        <v>1675277</v>
      </c>
      <c r="E27" s="8">
        <f t="shared" si="0"/>
        <v>8399.48</v>
      </c>
      <c r="G27" s="5">
        <f>SUM(242708+7588)</f>
        <v>250296</v>
      </c>
      <c r="H27" s="8">
        <f t="shared" si="1"/>
        <v>1254.93</v>
      </c>
      <c r="J27" s="5">
        <f t="shared" si="2"/>
        <v>1925573</v>
      </c>
      <c r="K27" s="8">
        <f t="shared" si="3"/>
        <v>9654.41</v>
      </c>
    </row>
    <row r="28" spans="1:11" x14ac:dyDescent="0.25">
      <c r="A28" t="s">
        <v>27</v>
      </c>
      <c r="B28" s="8">
        <v>315.82</v>
      </c>
      <c r="D28" s="5">
        <v>2611904</v>
      </c>
      <c r="E28" s="8">
        <f t="shared" si="0"/>
        <v>8270.23</v>
      </c>
      <c r="G28" s="5">
        <f>SUM(450903+9988+13088)</f>
        <v>473979</v>
      </c>
      <c r="H28" s="8">
        <f t="shared" si="1"/>
        <v>1500.79</v>
      </c>
      <c r="J28" s="5">
        <f t="shared" si="2"/>
        <v>3085883</v>
      </c>
      <c r="K28" s="8">
        <f t="shared" si="3"/>
        <v>9771.02</v>
      </c>
    </row>
    <row r="29" spans="1:11" x14ac:dyDescent="0.25">
      <c r="A29" t="s">
        <v>25</v>
      </c>
      <c r="B29" s="8">
        <v>178.85</v>
      </c>
      <c r="D29" s="5">
        <v>1543139</v>
      </c>
      <c r="E29" s="8">
        <f t="shared" si="0"/>
        <v>8628.1200000000008</v>
      </c>
      <c r="G29" s="5">
        <f>SUM(205881+6935)</f>
        <v>212816</v>
      </c>
      <c r="H29" s="8">
        <f t="shared" si="1"/>
        <v>1189.9100000000001</v>
      </c>
      <c r="J29" s="5">
        <f t="shared" si="2"/>
        <v>1755955</v>
      </c>
      <c r="K29" s="8">
        <f t="shared" si="3"/>
        <v>9818.0300000000007</v>
      </c>
    </row>
    <row r="30" spans="1:11" x14ac:dyDescent="0.25">
      <c r="A30" t="s">
        <v>39</v>
      </c>
      <c r="B30" s="8">
        <v>302.97000000000003</v>
      </c>
      <c r="D30" s="5">
        <v>2523424</v>
      </c>
      <c r="E30" s="8">
        <f t="shared" si="0"/>
        <v>8328.9599999999991</v>
      </c>
      <c r="G30" s="5">
        <f>SUM(510900+12128)</f>
        <v>523028</v>
      </c>
      <c r="H30" s="8">
        <f t="shared" si="1"/>
        <v>1726.34</v>
      </c>
      <c r="J30" s="5">
        <f t="shared" si="2"/>
        <v>3046452</v>
      </c>
      <c r="K30" s="8">
        <f t="shared" si="3"/>
        <v>10055.290000000001</v>
      </c>
    </row>
    <row r="31" spans="1:11" x14ac:dyDescent="0.25">
      <c r="A31" t="s">
        <v>28</v>
      </c>
      <c r="B31" s="9">
        <v>300.5</v>
      </c>
      <c r="D31" s="6">
        <v>2470428</v>
      </c>
      <c r="E31" s="9">
        <f t="shared" si="0"/>
        <v>8221.06</v>
      </c>
      <c r="G31" s="6">
        <f>SUM(533442+15836+12125)</f>
        <v>561403</v>
      </c>
      <c r="H31" s="9">
        <f t="shared" si="1"/>
        <v>1868.23</v>
      </c>
      <c r="J31" s="6">
        <f t="shared" si="2"/>
        <v>3031831</v>
      </c>
      <c r="K31" s="9">
        <f t="shared" si="3"/>
        <v>10089.290000000001</v>
      </c>
    </row>
    <row r="32" spans="1:11" x14ac:dyDescent="0.25">
      <c r="A32" t="s">
        <v>26</v>
      </c>
      <c r="B32" s="10">
        <v>322.87</v>
      </c>
      <c r="D32" s="7">
        <v>2837334</v>
      </c>
      <c r="E32" s="10">
        <f t="shared" si="0"/>
        <v>8787.85</v>
      </c>
      <c r="G32" s="7">
        <f>SUM(540230+13058)</f>
        <v>553288</v>
      </c>
      <c r="H32" s="10">
        <f t="shared" si="1"/>
        <v>1713.66</v>
      </c>
      <c r="J32" s="7">
        <f t="shared" si="2"/>
        <v>3390622</v>
      </c>
      <c r="K32" s="10">
        <f t="shared" si="3"/>
        <v>10501.51</v>
      </c>
    </row>
    <row r="33" spans="1:13" x14ac:dyDescent="0.25">
      <c r="A33" t="s">
        <v>29</v>
      </c>
      <c r="B33" s="8">
        <f>SUM(B9:B32)</f>
        <v>12575.710000000003</v>
      </c>
      <c r="D33" s="5">
        <f>SUM(D9:D32)</f>
        <v>88172550</v>
      </c>
      <c r="E33" s="8">
        <f t="shared" ref="E33" si="4">ROUND(SUM(D33/B33),2)</f>
        <v>7011.34</v>
      </c>
      <c r="G33" s="5">
        <f>SUM(G9:G32)</f>
        <v>11903756</v>
      </c>
      <c r="H33" s="8">
        <f t="shared" ref="H33" si="5">ROUND(SUM(G33/B33),2)</f>
        <v>946.57</v>
      </c>
      <c r="J33" s="5">
        <f t="shared" ref="J33" si="6">SUM(D33+G33)</f>
        <v>100076306</v>
      </c>
      <c r="K33" s="8">
        <f t="shared" ref="K33" si="7">ROUND(SUM(J33/B33),2)</f>
        <v>7957.91</v>
      </c>
    </row>
    <row r="34" spans="1:13" x14ac:dyDescent="0.25">
      <c r="B34" s="8"/>
      <c r="D34" s="5"/>
      <c r="E34" s="8"/>
      <c r="G34" s="5"/>
      <c r="H34" s="8"/>
      <c r="K34" s="8"/>
    </row>
    <row r="35" spans="1:13" x14ac:dyDescent="0.25">
      <c r="A35" t="s">
        <v>30</v>
      </c>
      <c r="B35" s="8"/>
      <c r="D35" s="5"/>
      <c r="E35" s="8"/>
      <c r="G35" s="5"/>
      <c r="H35" s="8"/>
      <c r="K35" s="8"/>
    </row>
    <row r="36" spans="1:13" x14ac:dyDescent="0.25">
      <c r="A36" t="s">
        <v>31</v>
      </c>
      <c r="B36" s="9">
        <v>694.64</v>
      </c>
      <c r="D36" s="6">
        <v>3930442</v>
      </c>
      <c r="E36" s="9">
        <f t="shared" ref="E36:E42" si="8">ROUND(SUM(D36/B36),2)</f>
        <v>5658.24</v>
      </c>
      <c r="G36" s="6">
        <f>SUM(202735+17508)</f>
        <v>220243</v>
      </c>
      <c r="H36" s="9">
        <f t="shared" ref="H36:H42" si="9">ROUND(SUM(G36/B36),2)</f>
        <v>317.06</v>
      </c>
      <c r="J36" s="6">
        <f t="shared" ref="J36:J42" si="10">SUM(D36+G36)</f>
        <v>4150685</v>
      </c>
      <c r="K36" s="9">
        <f t="shared" ref="K36:K42" si="11">ROUND(SUM(J36/B36),2)</f>
        <v>5975.3</v>
      </c>
    </row>
    <row r="37" spans="1:13" x14ac:dyDescent="0.25">
      <c r="A37" t="s">
        <v>32</v>
      </c>
      <c r="B37" s="8">
        <v>963.29</v>
      </c>
      <c r="D37" s="5">
        <v>5654003</v>
      </c>
      <c r="E37" s="8">
        <f t="shared" si="8"/>
        <v>5869.47</v>
      </c>
      <c r="G37" s="5">
        <f>SUM(562037+30622)</f>
        <v>592659</v>
      </c>
      <c r="H37" s="8">
        <f t="shared" si="9"/>
        <v>615.24</v>
      </c>
      <c r="J37" s="5">
        <f t="shared" si="10"/>
        <v>6246662</v>
      </c>
      <c r="K37" s="8">
        <f t="shared" si="11"/>
        <v>6484.72</v>
      </c>
    </row>
    <row r="38" spans="1:13" x14ac:dyDescent="0.25">
      <c r="A38" t="s">
        <v>35</v>
      </c>
      <c r="B38" s="8">
        <v>674.18</v>
      </c>
      <c r="D38" s="5">
        <v>4240249</v>
      </c>
      <c r="E38" s="8">
        <f t="shared" si="8"/>
        <v>6289.49</v>
      </c>
      <c r="G38" s="5">
        <f>SUM(161978+19393)</f>
        <v>181371</v>
      </c>
      <c r="H38" s="8">
        <f t="shared" si="9"/>
        <v>269.02</v>
      </c>
      <c r="J38" s="5">
        <f t="shared" si="10"/>
        <v>4421620</v>
      </c>
      <c r="K38" s="8">
        <f t="shared" si="11"/>
        <v>6558.52</v>
      </c>
    </row>
    <row r="39" spans="1:13" x14ac:dyDescent="0.25">
      <c r="A39" t="s">
        <v>33</v>
      </c>
      <c r="B39" s="8">
        <v>835.08</v>
      </c>
      <c r="D39" s="5">
        <v>5244323</v>
      </c>
      <c r="E39" s="8">
        <f t="shared" si="8"/>
        <v>6280.02</v>
      </c>
      <c r="G39" s="5">
        <f>SUM(250599+22936)</f>
        <v>273535</v>
      </c>
      <c r="H39" s="8">
        <f t="shared" si="9"/>
        <v>327.56</v>
      </c>
      <c r="J39" s="5">
        <f t="shared" si="10"/>
        <v>5517858</v>
      </c>
      <c r="K39" s="8">
        <f t="shared" si="11"/>
        <v>6607.58</v>
      </c>
    </row>
    <row r="40" spans="1:13" x14ac:dyDescent="0.25">
      <c r="A40" t="s">
        <v>34</v>
      </c>
      <c r="B40" s="8">
        <v>978.07</v>
      </c>
      <c r="D40" s="5">
        <v>6161835</v>
      </c>
      <c r="E40" s="8">
        <f t="shared" si="8"/>
        <v>6299.99</v>
      </c>
      <c r="G40" s="5">
        <f>SUM(311069+29018)</f>
        <v>340087</v>
      </c>
      <c r="H40" s="8">
        <f t="shared" si="9"/>
        <v>347.71</v>
      </c>
      <c r="J40" s="5">
        <f t="shared" si="10"/>
        <v>6501922</v>
      </c>
      <c r="K40" s="8">
        <f t="shared" si="11"/>
        <v>6647.71</v>
      </c>
    </row>
    <row r="41" spans="1:13" x14ac:dyDescent="0.25">
      <c r="A41" t="s">
        <v>36</v>
      </c>
      <c r="B41" s="8">
        <v>684.91</v>
      </c>
      <c r="D41" s="5">
        <v>4597062</v>
      </c>
      <c r="E41" s="8">
        <f t="shared" si="8"/>
        <v>6711.92</v>
      </c>
      <c r="G41" s="5">
        <f>SUM(208139+19048)</f>
        <v>227187</v>
      </c>
      <c r="H41" s="8">
        <f t="shared" si="9"/>
        <v>331.7</v>
      </c>
      <c r="J41" s="5">
        <f t="shared" si="10"/>
        <v>4824249</v>
      </c>
      <c r="K41" s="8">
        <f t="shared" si="11"/>
        <v>7043.62</v>
      </c>
    </row>
    <row r="42" spans="1:13" x14ac:dyDescent="0.25">
      <c r="A42" t="s">
        <v>37</v>
      </c>
      <c r="B42" s="10">
        <v>355.65</v>
      </c>
      <c r="D42" s="7">
        <v>2730419</v>
      </c>
      <c r="E42" s="10">
        <f t="shared" si="8"/>
        <v>7677.26</v>
      </c>
      <c r="G42" s="7">
        <f>SUM(80615+10900)</f>
        <v>91515</v>
      </c>
      <c r="H42" s="10">
        <f t="shared" si="9"/>
        <v>257.32</v>
      </c>
      <c r="J42" s="7">
        <f t="shared" si="10"/>
        <v>2821934</v>
      </c>
      <c r="K42" s="10">
        <f t="shared" si="11"/>
        <v>7934.58</v>
      </c>
    </row>
    <row r="43" spans="1:13" x14ac:dyDescent="0.25">
      <c r="A43" t="s">
        <v>38</v>
      </c>
      <c r="B43" s="8">
        <f>SUM(B36:B42)</f>
        <v>5185.8199999999988</v>
      </c>
      <c r="D43" s="5">
        <f>SUM(D36:D42)</f>
        <v>32558333</v>
      </c>
      <c r="E43" s="8">
        <f t="shared" ref="E43" si="12">ROUND(SUM(D43/B43),2)</f>
        <v>6278.34</v>
      </c>
      <c r="G43" s="5">
        <f>SUM(G36:G42)</f>
        <v>1926597</v>
      </c>
      <c r="H43" s="8">
        <f t="shared" ref="H43" si="13">ROUND(SUM(G43/B43),2)</f>
        <v>371.51</v>
      </c>
      <c r="J43" s="5">
        <f t="shared" ref="J43" si="14">SUM(D43+G43)</f>
        <v>34484930</v>
      </c>
      <c r="K43" s="8">
        <f t="shared" ref="K43" si="15">ROUND(SUM(J43/B43),2)</f>
        <v>6649.85</v>
      </c>
      <c r="M43" s="5" t="s">
        <v>53</v>
      </c>
    </row>
    <row r="44" spans="1:13" x14ac:dyDescent="0.25">
      <c r="B44" s="8"/>
      <c r="D44" s="5"/>
      <c r="E44" s="8"/>
      <c r="G44" s="5"/>
      <c r="H44" s="8"/>
      <c r="K44" s="8"/>
    </row>
    <row r="45" spans="1:13" x14ac:dyDescent="0.25">
      <c r="A45" t="s">
        <v>40</v>
      </c>
      <c r="B45" s="8"/>
      <c r="D45" s="5"/>
      <c r="E45" s="8"/>
      <c r="G45" s="5"/>
      <c r="H45" s="8"/>
      <c r="K45" s="8"/>
    </row>
    <row r="46" spans="1:13" x14ac:dyDescent="0.25">
      <c r="A46" t="s">
        <v>41</v>
      </c>
      <c r="B46" s="9">
        <v>1975.51</v>
      </c>
      <c r="D46" s="6">
        <v>10769247</v>
      </c>
      <c r="E46" s="9">
        <f t="shared" ref="E46:E52" si="16">ROUND(SUM(D46/B46),2)</f>
        <v>5451.38</v>
      </c>
      <c r="G46" s="6">
        <f>SUM(601666+69004)</f>
        <v>670670</v>
      </c>
      <c r="H46" s="9">
        <f t="shared" ref="H46:H52" si="17">ROUND(SUM(G46/B46),2)</f>
        <v>339.49</v>
      </c>
      <c r="J46" s="6">
        <f t="shared" ref="J46:J52" si="18">SUM(D46+G46)</f>
        <v>11439917</v>
      </c>
      <c r="K46" s="9">
        <f t="shared" ref="K46:K52" si="19">ROUND(SUM(J46/B46),2)</f>
        <v>5790.87</v>
      </c>
    </row>
    <row r="47" spans="1:13" x14ac:dyDescent="0.25">
      <c r="A47" t="s">
        <v>43</v>
      </c>
      <c r="B47" s="9">
        <v>1008.56</v>
      </c>
      <c r="D47" s="6">
        <v>5883468</v>
      </c>
      <c r="E47" s="8">
        <f t="shared" si="16"/>
        <v>5833.53</v>
      </c>
      <c r="G47" s="5">
        <f>SUM(212728+66516)</f>
        <v>279244</v>
      </c>
      <c r="H47" s="8">
        <f t="shared" si="17"/>
        <v>276.87</v>
      </c>
      <c r="J47" s="5">
        <f t="shared" si="18"/>
        <v>6162712</v>
      </c>
      <c r="K47" s="8">
        <f t="shared" si="19"/>
        <v>6110.41</v>
      </c>
    </row>
    <row r="48" spans="1:13" x14ac:dyDescent="0.25">
      <c r="A48" t="s">
        <v>42</v>
      </c>
      <c r="B48" s="8">
        <v>1679.73</v>
      </c>
      <c r="D48" s="5">
        <v>10260979</v>
      </c>
      <c r="E48" s="8">
        <f t="shared" si="16"/>
        <v>6108.71</v>
      </c>
      <c r="G48" s="5">
        <f>SUM(584600+72744)</f>
        <v>657344</v>
      </c>
      <c r="H48" s="8">
        <f t="shared" si="17"/>
        <v>391.34</v>
      </c>
      <c r="J48" s="5">
        <f t="shared" si="18"/>
        <v>10918323</v>
      </c>
      <c r="K48" s="8">
        <f t="shared" si="19"/>
        <v>6500.05</v>
      </c>
    </row>
    <row r="49" spans="1:13" x14ac:dyDescent="0.25">
      <c r="A49" t="s">
        <v>44</v>
      </c>
      <c r="B49" s="8">
        <v>1277.7</v>
      </c>
      <c r="D49" s="5">
        <v>8947304</v>
      </c>
      <c r="E49" s="8">
        <f t="shared" si="16"/>
        <v>7002.66</v>
      </c>
      <c r="G49" s="5">
        <f>SUM(543198+94742)</f>
        <v>637940</v>
      </c>
      <c r="H49" s="8">
        <f t="shared" si="17"/>
        <v>499.29</v>
      </c>
      <c r="J49" s="5">
        <f t="shared" si="18"/>
        <v>9585244</v>
      </c>
      <c r="K49" s="8">
        <f t="shared" si="19"/>
        <v>7501.95</v>
      </c>
    </row>
    <row r="50" spans="1:13" x14ac:dyDescent="0.25">
      <c r="A50" t="s">
        <v>20</v>
      </c>
      <c r="B50" s="8">
        <v>517.30999999999995</v>
      </c>
      <c r="D50" s="5">
        <v>3799502</v>
      </c>
      <c r="E50" s="8">
        <f t="shared" si="16"/>
        <v>7344.73</v>
      </c>
      <c r="G50" s="5">
        <f>SUM(129181+78771)</f>
        <v>207952</v>
      </c>
      <c r="H50" s="8">
        <f t="shared" si="17"/>
        <v>401.99</v>
      </c>
      <c r="J50" s="5">
        <f t="shared" si="18"/>
        <v>4007454</v>
      </c>
      <c r="K50" s="8">
        <f t="shared" si="19"/>
        <v>7746.72</v>
      </c>
    </row>
    <row r="51" spans="1:13" x14ac:dyDescent="0.25">
      <c r="A51" t="s">
        <v>45</v>
      </c>
      <c r="B51" s="8">
        <v>239.56</v>
      </c>
      <c r="D51" s="5">
        <v>2556355</v>
      </c>
      <c r="E51" s="8">
        <f t="shared" si="16"/>
        <v>10671.04</v>
      </c>
      <c r="G51" s="5">
        <f>SUM(262347+11002+59600)</f>
        <v>332949</v>
      </c>
      <c r="H51" s="8">
        <f t="shared" si="17"/>
        <v>1389.84</v>
      </c>
      <c r="J51" s="5">
        <f t="shared" si="18"/>
        <v>2889304</v>
      </c>
      <c r="K51" s="8">
        <f t="shared" si="19"/>
        <v>12060.88</v>
      </c>
    </row>
    <row r="52" spans="1:13" x14ac:dyDescent="0.25">
      <c r="A52" t="s">
        <v>46</v>
      </c>
      <c r="B52" s="10">
        <v>202.22</v>
      </c>
      <c r="D52" s="7">
        <v>2606376</v>
      </c>
      <c r="E52" s="10">
        <f t="shared" si="16"/>
        <v>12888.81</v>
      </c>
      <c r="G52" s="7">
        <f>SUM(45729+8282)</f>
        <v>54011</v>
      </c>
      <c r="H52" s="10">
        <f t="shared" si="17"/>
        <v>267.08999999999997</v>
      </c>
      <c r="J52" s="7">
        <f t="shared" si="18"/>
        <v>2660387</v>
      </c>
      <c r="K52" s="10">
        <f t="shared" si="19"/>
        <v>13155.9</v>
      </c>
    </row>
    <row r="53" spans="1:13" x14ac:dyDescent="0.25">
      <c r="A53" t="s">
        <v>47</v>
      </c>
      <c r="B53" s="8">
        <f>SUM(B46:B52)</f>
        <v>6900.59</v>
      </c>
      <c r="D53" s="5">
        <f>SUM(D46:D52)</f>
        <v>44823231</v>
      </c>
      <c r="E53" s="8">
        <f t="shared" ref="E53" si="20">ROUND(SUM(D53/B53),2)</f>
        <v>6495.57</v>
      </c>
      <c r="G53" s="5">
        <f>SUM(G46:G52)</f>
        <v>2840110</v>
      </c>
      <c r="H53" s="8">
        <f t="shared" ref="H53" si="21">ROUND(SUM(G53/B53),2)</f>
        <v>411.57</v>
      </c>
      <c r="J53" s="5">
        <f t="shared" ref="J53" si="22">SUM(D53+G53)</f>
        <v>47663341</v>
      </c>
      <c r="K53" s="8">
        <f t="shared" ref="K53" si="23">ROUND(SUM(J53/B53),2)</f>
        <v>6907.14</v>
      </c>
      <c r="M53" s="5" t="s">
        <v>53</v>
      </c>
    </row>
    <row r="54" spans="1:13" x14ac:dyDescent="0.25">
      <c r="B54" s="8"/>
      <c r="D54" s="5"/>
      <c r="E54" s="8"/>
      <c r="G54" s="5"/>
      <c r="H54" s="8"/>
      <c r="K54" s="8"/>
    </row>
    <row r="55" spans="1:13" x14ac:dyDescent="0.25">
      <c r="A55" t="s">
        <v>48</v>
      </c>
      <c r="B55" s="8"/>
      <c r="D55" s="5"/>
      <c r="E55" s="8"/>
      <c r="G55" s="5"/>
      <c r="H55" s="8"/>
      <c r="K55" s="8"/>
    </row>
    <row r="56" spans="1:13" x14ac:dyDescent="0.25">
      <c r="A56" t="s">
        <v>50</v>
      </c>
      <c r="B56" s="8">
        <v>144.12</v>
      </c>
      <c r="D56" s="5">
        <v>3347605</v>
      </c>
      <c r="E56" s="8">
        <f>ROUND(SUM(D56/B56),2)</f>
        <v>23227.9</v>
      </c>
      <c r="G56" s="5">
        <f>SUM(462642+11532)</f>
        <v>474174</v>
      </c>
      <c r="H56" s="8">
        <f>ROUND(SUM(G56/B56),2)</f>
        <v>3290.13</v>
      </c>
      <c r="J56" s="5">
        <f>SUM(D56+G56)</f>
        <v>3821779</v>
      </c>
      <c r="K56" s="8">
        <f>ROUND(SUM(J56/B56),2)</f>
        <v>26518.03</v>
      </c>
    </row>
    <row r="57" spans="1:13" x14ac:dyDescent="0.25">
      <c r="A57" t="s">
        <v>49</v>
      </c>
      <c r="B57" s="9">
        <v>81.03</v>
      </c>
      <c r="D57" s="6">
        <v>2003084</v>
      </c>
      <c r="E57" s="9">
        <f>ROUND(SUM(D57/B57),2)</f>
        <v>24720.28</v>
      </c>
      <c r="G57" s="6">
        <f>SUM(163522+7184)</f>
        <v>170706</v>
      </c>
      <c r="H57" s="9">
        <f>ROUND(SUM(G57/B57),2)</f>
        <v>2106.6999999999998</v>
      </c>
      <c r="J57" s="6">
        <f>SUM(D57+G57)</f>
        <v>2173790</v>
      </c>
      <c r="K57" s="9">
        <f>ROUND(SUM(J57/B57),2)</f>
        <v>26826.98</v>
      </c>
    </row>
    <row r="58" spans="1:13" x14ac:dyDescent="0.25">
      <c r="A58" t="s">
        <v>51</v>
      </c>
      <c r="B58" s="10">
        <v>67.72</v>
      </c>
      <c r="D58" s="7">
        <v>2099916</v>
      </c>
      <c r="E58" s="10">
        <f>ROUND(SUM(D58/B58),2)</f>
        <v>31008.799999999999</v>
      </c>
      <c r="G58" s="7">
        <f>SUM(357299+9790)</f>
        <v>367089</v>
      </c>
      <c r="H58" s="10">
        <f>ROUND(SUM(G58/B58),2)</f>
        <v>5420.69</v>
      </c>
      <c r="J58" s="7">
        <f>SUM(D58+G58)</f>
        <v>2467005</v>
      </c>
      <c r="K58" s="10">
        <f>ROUND(SUM(J58/B58),2)</f>
        <v>36429.49</v>
      </c>
      <c r="M58" s="5" t="s">
        <v>53</v>
      </c>
    </row>
    <row r="59" spans="1:13" x14ac:dyDescent="0.25">
      <c r="A59" t="s">
        <v>52</v>
      </c>
      <c r="B59" s="8">
        <f>SUM(B56:B58)</f>
        <v>292.87</v>
      </c>
      <c r="D59" s="5">
        <f>SUM(D56:D58)</f>
        <v>7450605</v>
      </c>
      <c r="E59" s="8">
        <f>ROUND(SUM(D59/B59),2)</f>
        <v>25439.97</v>
      </c>
      <c r="G59" s="5">
        <f>SUM(G56:G58)</f>
        <v>1011969</v>
      </c>
      <c r="H59" s="8">
        <f>ROUND(SUM(G59/B59),2)</f>
        <v>3455.35</v>
      </c>
      <c r="J59" s="5">
        <f>SUM(D59+G59)</f>
        <v>8462574</v>
      </c>
      <c r="K59" s="8">
        <f>ROUND(SUM(J59/B59),2)</f>
        <v>28895.33</v>
      </c>
    </row>
  </sheetData>
  <sortState ref="A56:K58">
    <sortCondition ref="K56:K58"/>
  </sortState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G. Kirkpatrick</dc:creator>
  <cp:lastModifiedBy>Mimi D Caldwell</cp:lastModifiedBy>
  <cp:lastPrinted>2016-01-20T21:58:29Z</cp:lastPrinted>
  <dcterms:created xsi:type="dcterms:W3CDTF">2016-01-19T19:10:06Z</dcterms:created>
  <dcterms:modified xsi:type="dcterms:W3CDTF">2016-05-02T16:07:25Z</dcterms:modified>
</cp:coreProperties>
</file>